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rojects\Current\Better Health Together ACH_88522-001253\Data Support\Demo &amp; other measures\"/>
    </mc:Choice>
  </mc:AlternateContent>
  <xr:revisionPtr revIDLastSave="0" documentId="13_ncr:1_{769BC015-7F0B-41F0-8D50-F9B1C0DE088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2019 Calculator" sheetId="1" r:id="rId1"/>
    <sheet name="2020 &amp; 2021 Calculator" sheetId="3" r:id="rId2"/>
    <sheet name="Documenta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1" l="1"/>
  <c r="C51" i="1"/>
  <c r="C50" i="1"/>
  <c r="B21" i="3" l="1"/>
  <c r="B17" i="1"/>
  <c r="B55" i="3" l="1"/>
  <c r="C22" i="3" l="1"/>
  <c r="C21" i="3"/>
  <c r="C20" i="3"/>
  <c r="C19" i="3"/>
  <c r="C18" i="1"/>
  <c r="C17" i="1"/>
  <c r="C16" i="1"/>
  <c r="C15" i="1"/>
  <c r="K48" i="3" l="1"/>
  <c r="B22" i="3" s="1"/>
  <c r="J48" i="3"/>
  <c r="I48" i="3"/>
  <c r="H48" i="3"/>
  <c r="B12" i="3"/>
  <c r="B11" i="3"/>
  <c r="I43" i="1"/>
  <c r="B18" i="1" s="1"/>
  <c r="H43" i="1"/>
  <c r="G43" i="1"/>
  <c r="B16" i="1" s="1"/>
  <c r="F43" i="1"/>
  <c r="B9" i="1"/>
  <c r="E46" i="3" l="1"/>
  <c r="D46" i="3"/>
  <c r="C46" i="3"/>
  <c r="F46" i="3"/>
  <c r="D41" i="1"/>
  <c r="D35" i="1"/>
  <c r="C41" i="1"/>
  <c r="C39" i="1"/>
  <c r="F31" i="3"/>
  <c r="D34" i="1"/>
  <c r="D31" i="3"/>
  <c r="D33" i="3"/>
  <c r="E31" i="3"/>
  <c r="C31" i="3"/>
  <c r="F47" i="3"/>
  <c r="D42" i="3"/>
  <c r="E41" i="3"/>
  <c r="F42" i="3"/>
  <c r="D41" i="3"/>
  <c r="C42" i="3"/>
  <c r="F41" i="3"/>
  <c r="E47" i="3"/>
  <c r="C41" i="3"/>
  <c r="D47" i="3"/>
  <c r="E42" i="3"/>
  <c r="C47" i="3"/>
  <c r="F36" i="3"/>
  <c r="F32" i="3"/>
  <c r="D39" i="3"/>
  <c r="D35" i="3"/>
  <c r="D30" i="3"/>
  <c r="E38" i="3"/>
  <c r="E34" i="3"/>
  <c r="E29" i="3"/>
  <c r="C40" i="3"/>
  <c r="C32" i="3"/>
  <c r="C35" i="3"/>
  <c r="F39" i="3"/>
  <c r="F35" i="3"/>
  <c r="F30" i="3"/>
  <c r="D38" i="3"/>
  <c r="D34" i="3"/>
  <c r="D29" i="3"/>
  <c r="E44" i="3"/>
  <c r="E40" i="3"/>
  <c r="E37" i="3"/>
  <c r="E33" i="3"/>
  <c r="C39" i="3"/>
  <c r="C30" i="3"/>
  <c r="C34" i="3"/>
  <c r="F38" i="3"/>
  <c r="F34" i="3"/>
  <c r="F29" i="3"/>
  <c r="D44" i="3"/>
  <c r="D40" i="3"/>
  <c r="D37" i="3"/>
  <c r="E36" i="3"/>
  <c r="E32" i="3"/>
  <c r="C38" i="3"/>
  <c r="C33" i="3"/>
  <c r="F44" i="3"/>
  <c r="F40" i="3"/>
  <c r="F37" i="3"/>
  <c r="F33" i="3"/>
  <c r="D36" i="3"/>
  <c r="D32" i="3"/>
  <c r="E39" i="3"/>
  <c r="E35" i="3"/>
  <c r="E30" i="3"/>
  <c r="C44" i="3"/>
  <c r="C37" i="3"/>
  <c r="C36" i="3"/>
  <c r="C29" i="3"/>
  <c r="B20" i="3"/>
  <c r="F43" i="3"/>
  <c r="E43" i="3"/>
  <c r="C43" i="3"/>
  <c r="D43" i="3"/>
  <c r="E45" i="3"/>
  <c r="D45" i="3"/>
  <c r="C45" i="3"/>
  <c r="F45" i="3"/>
  <c r="B19" i="3"/>
  <c r="C37" i="1"/>
  <c r="D28" i="1"/>
  <c r="C36" i="1"/>
  <c r="C30" i="1"/>
  <c r="C34" i="1"/>
  <c r="C27" i="1"/>
  <c r="D30" i="1"/>
  <c r="D27" i="1"/>
  <c r="D39" i="1"/>
  <c r="D36" i="1"/>
  <c r="C25" i="1"/>
  <c r="C26" i="1"/>
  <c r="C35" i="1"/>
  <c r="C38" i="1"/>
  <c r="D37" i="1"/>
  <c r="B15" i="1"/>
  <c r="B12" i="1" s="1"/>
  <c r="C28" i="1"/>
  <c r="D26" i="1"/>
  <c r="D38" i="1"/>
  <c r="D25" i="1"/>
  <c r="C48" i="3" l="1"/>
  <c r="E48" i="3"/>
  <c r="F48" i="3"/>
  <c r="B15" i="3"/>
  <c r="B16" i="3"/>
  <c r="D43" i="1"/>
  <c r="C43" i="1"/>
  <c r="D48" i="3"/>
  <c r="C50" i="3" s="1"/>
  <c r="C52" i="3" l="1"/>
  <c r="C53" i="3" s="1"/>
  <c r="C47" i="1"/>
  <c r="C48" i="1" s="1"/>
  <c r="C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Angus, Lisa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Angus, Lisa:</t>
        </r>
        <r>
          <rPr>
            <sz val="9"/>
            <color indexed="81"/>
            <rFont val="Tahoma"/>
            <family val="2"/>
          </rPr>
          <t xml:space="preserve">
Calculated based on 2019 P4R earnings/0.75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Angus, Lisa</author>
  </authors>
  <commentList>
    <comment ref="B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Angus, Lisa:</t>
        </r>
        <r>
          <rPr>
            <sz val="9"/>
            <color indexed="81"/>
            <rFont val="Tahoma"/>
            <family val="2"/>
          </rPr>
          <t xml:space="preserve">
Per HCA ACH Incentive Projections for DY3-5, updated March 12 2020</t>
        </r>
      </text>
    </comment>
  </commentList>
</comments>
</file>

<file path=xl/sharedStrings.xml><?xml version="1.0" encoding="utf-8"?>
<sst xmlns="http://schemas.openxmlformats.org/spreadsheetml/2006/main" count="181" uniqueCount="81">
  <si>
    <t>Antidepressant Medication Management</t>
  </si>
  <si>
    <t>Plan All-Cause Readmission Rate (30 Days)</t>
  </si>
  <si>
    <t>Follow-up After Discharge from ED for Mental Health (7 day, 30 day)</t>
  </si>
  <si>
    <t>Follow-up After Discharge from ED for Alcohol or Other Drug Dependence (7 day, 30 day)</t>
  </si>
  <si>
    <t xml:space="preserve">Follow-up After Hospitalization for Mental Illness </t>
  </si>
  <si>
    <t>Substance Use Disorder Treatment Penetration</t>
  </si>
  <si>
    <t>Child and Adolescents’ Access to Primary Care Practitioners</t>
  </si>
  <si>
    <t>Comprehensive Diabetes Care: Eye Exam (retinal) performed</t>
  </si>
  <si>
    <t>Comprehensive Diabetes Care: Hemoglobin A1c Testing</t>
  </si>
  <si>
    <t xml:space="preserve">Comprehensive Diabetes Care: Medical Attention for Nephropathy </t>
  </si>
  <si>
    <t>Percent Homeless (Narrow Definition)</t>
  </si>
  <si>
    <t xml:space="preserve">Patients with concurrent sedatives prescriptions </t>
  </si>
  <si>
    <t xml:space="preserve">Substance Use Disorder Treatment Penetration (Opioid) </t>
  </si>
  <si>
    <t>Statin Therapy for Patients with Cardiovascular Disease (Prescribed)</t>
  </si>
  <si>
    <t>2A</t>
  </si>
  <si>
    <t>2B</t>
  </si>
  <si>
    <t>3A</t>
  </si>
  <si>
    <t>3D</t>
  </si>
  <si>
    <t>X</t>
  </si>
  <si>
    <t>All-cause ED visits</t>
  </si>
  <si>
    <t xml:space="preserve">Acute Hospital Utilization </t>
  </si>
  <si>
    <t xml:space="preserve">Medication Management for People with Asthma </t>
  </si>
  <si>
    <t xml:space="preserve">Mental Health Treatment Penetration </t>
  </si>
  <si>
    <t xml:space="preserve">Patients on high-dose chronic opioid therapy </t>
  </si>
  <si>
    <t>P4P Measure</t>
  </si>
  <si>
    <r>
      <t xml:space="preserve">Estimated AV 
</t>
    </r>
    <r>
      <rPr>
        <i/>
        <sz val="11"/>
        <color rgb="FFFF0000"/>
        <rFont val="Calibri"/>
        <family val="2"/>
        <scheme val="minor"/>
      </rPr>
      <t>(enter from dashboard)</t>
    </r>
  </si>
  <si>
    <t>Project weight (re-based)</t>
  </si>
  <si>
    <r>
      <t xml:space="preserve">Est. Total Achievement Value for 2A (Bidirectional Care) - </t>
    </r>
    <r>
      <rPr>
        <b/>
        <sz val="11"/>
        <color theme="1"/>
        <rFont val="Calibri"/>
        <family val="2"/>
        <scheme val="minor"/>
      </rPr>
      <t>2019</t>
    </r>
  </si>
  <si>
    <r>
      <t xml:space="preserve">Est. Total Achievement Value for 2B (Community-based Care Coord) - </t>
    </r>
    <r>
      <rPr>
        <b/>
        <sz val="11"/>
        <color theme="1"/>
        <rFont val="Calibri"/>
        <family val="2"/>
        <scheme val="minor"/>
      </rPr>
      <t>2019</t>
    </r>
  </si>
  <si>
    <r>
      <t xml:space="preserve">Est. Total Achievement Value for 3A (Opioids) - </t>
    </r>
    <r>
      <rPr>
        <b/>
        <sz val="11"/>
        <color theme="1"/>
        <rFont val="Calibri"/>
        <family val="2"/>
        <scheme val="minor"/>
      </rPr>
      <t>2019</t>
    </r>
  </si>
  <si>
    <r>
      <t xml:space="preserve">Est. Total Achievement Value for 3D (Chronic Disease) - </t>
    </r>
    <r>
      <rPr>
        <b/>
        <sz val="11"/>
        <color theme="1"/>
        <rFont val="Calibri"/>
        <family val="2"/>
        <scheme val="minor"/>
      </rPr>
      <t>2019</t>
    </r>
  </si>
  <si>
    <t>n/a</t>
  </si>
  <si>
    <r>
      <t xml:space="preserve">Est. Total Achievement Value for 2A (Bidirectional Care) - </t>
    </r>
    <r>
      <rPr>
        <b/>
        <sz val="11"/>
        <color theme="1"/>
        <rFont val="Calibri"/>
        <family val="2"/>
        <scheme val="minor"/>
      </rPr>
      <t>2020 or 2021</t>
    </r>
  </si>
  <si>
    <r>
      <t xml:space="preserve">Est. Total Achievement Value for 2B (Community-based Care Coord) - </t>
    </r>
    <r>
      <rPr>
        <b/>
        <sz val="11"/>
        <color theme="1"/>
        <rFont val="Calibri"/>
        <family val="2"/>
        <scheme val="minor"/>
      </rPr>
      <t>2020 or 2021</t>
    </r>
  </si>
  <si>
    <r>
      <t xml:space="preserve">Est. Total Achievement Value for 3A (Opioids) - </t>
    </r>
    <r>
      <rPr>
        <b/>
        <sz val="11"/>
        <color theme="1"/>
        <rFont val="Calibri"/>
        <family val="2"/>
        <scheme val="minor"/>
      </rPr>
      <t>2020 or 2021</t>
    </r>
  </si>
  <si>
    <r>
      <t xml:space="preserve">Est. Total Achievement Value for 3D (Chronic Disease) - </t>
    </r>
    <r>
      <rPr>
        <b/>
        <sz val="11"/>
        <color theme="1"/>
        <rFont val="Calibri"/>
        <family val="2"/>
        <scheme val="minor"/>
      </rPr>
      <t>2020 or 2021</t>
    </r>
  </si>
  <si>
    <t>Projected 2019 P4P earnings based on estimated AVs</t>
  </si>
  <si>
    <t>Projected 2020 P4P earnings based on estimated AVs</t>
  </si>
  <si>
    <t>Projected 2021 P4P earnings based on estimated AVs</t>
  </si>
  <si>
    <t>* Not counting high performance pool</t>
  </si>
  <si>
    <t>DRAFT AV Translation Calulator for Elevate Health, December 2019</t>
  </si>
  <si>
    <t xml:space="preserve">Instructions: </t>
  </si>
  <si>
    <t xml:space="preserve">See documentation tab for details. </t>
  </si>
  <si>
    <t xml:space="preserve"> Enter figure provided by HCA</t>
  </si>
  <si>
    <t>2019 
CALC. value</t>
  </si>
  <si>
    <t>2019 
max. value</t>
  </si>
  <si>
    <t>2020
max. value</t>
  </si>
  <si>
    <t>2020
CALC. value</t>
  </si>
  <si>
    <t>2021
max. value</t>
  </si>
  <si>
    <t>2021
CALC. value</t>
  </si>
  <si>
    <t xml:space="preserve">Enter data ONLY in blue cells; leave all other cells and formulas intact. Yellow cells provide estimates of % or monetary earnings based on AVs and total available Project Incentive amount supplied </t>
  </si>
  <si>
    <t>For reference, enter the measurement period from dashboard here:</t>
  </si>
  <si>
    <r>
      <t xml:space="preserve">Estimated AV 
</t>
    </r>
    <r>
      <rPr>
        <i/>
        <sz val="11"/>
        <color rgb="FFFF0000"/>
        <rFont val="Calibri"/>
        <family val="2"/>
        <scheme val="minor"/>
      </rPr>
      <t>(enter from dashboard - make sure to select 2019 as target year)</t>
    </r>
  </si>
  <si>
    <r>
      <t xml:space="preserve">Maximum </t>
    </r>
    <r>
      <rPr>
        <b/>
        <sz val="11"/>
        <color theme="1"/>
        <rFont val="Calibri"/>
        <family val="2"/>
        <scheme val="minor"/>
      </rPr>
      <t>P4P</t>
    </r>
    <r>
      <rPr>
        <sz val="11"/>
        <color theme="1"/>
        <rFont val="Calibri"/>
        <family val="2"/>
        <scheme val="minor"/>
      </rPr>
      <t xml:space="preserve"> earnings in 2019*</t>
    </r>
  </si>
  <si>
    <t>For reference, enter the target year you have selected from the dashboard here (2020 or 2021):</t>
  </si>
  <si>
    <t>2019 project alignment for metrics</t>
  </si>
  <si>
    <t>2020-21 project alignment for metrics</t>
  </si>
  <si>
    <t xml:space="preserve">Enter data ONLY in blue cells; leave all other cells and formulas intact. Yellow cells provide estimates of % or monetary earnings based on AVs and total available Project Incentive funding amount supplied </t>
  </si>
  <si>
    <r>
      <t xml:space="preserve">Maximum </t>
    </r>
    <r>
      <rPr>
        <b/>
        <sz val="11"/>
        <color theme="1"/>
        <rFont val="Calibri"/>
        <family val="2"/>
        <scheme val="minor"/>
      </rPr>
      <t>P4P</t>
    </r>
    <r>
      <rPr>
        <sz val="11"/>
        <color theme="1"/>
        <rFont val="Calibri"/>
        <family val="2"/>
        <scheme val="minor"/>
      </rPr>
      <t xml:space="preserve"> earnings in 2020*</t>
    </r>
  </si>
  <si>
    <r>
      <t xml:space="preserve">Maximum </t>
    </r>
    <r>
      <rPr>
        <b/>
        <sz val="11"/>
        <color theme="1"/>
        <rFont val="Calibri"/>
        <family val="2"/>
        <scheme val="minor"/>
      </rPr>
      <t>P4P</t>
    </r>
    <r>
      <rPr>
        <sz val="11"/>
        <color theme="1"/>
        <rFont val="Calibri"/>
        <family val="2"/>
        <scheme val="minor"/>
      </rPr>
      <t xml:space="preserve"> earnings in 2021*</t>
    </r>
  </si>
  <si>
    <t>Documentation Notes</t>
  </si>
  <si>
    <t>HCA's Measurement Guide (August 2019 version)</t>
  </si>
  <si>
    <t>https://www.hca.wa.gov/assets/program/mtp-measurement-guide.pdf</t>
  </si>
  <si>
    <t>Documents consulted:</t>
  </si>
  <si>
    <t>WA State DSRIP Program Funding and Mechanics Protocol (June 26 2017)</t>
  </si>
  <si>
    <t>https://www.hca.wa.gov/assets/program/Medicaid-demonstration-terms-conditions.pdf</t>
  </si>
  <si>
    <t>Calculation of Total Achievement Value by project is based on TAV calculation example in the Measurement Guide (Table 37)</t>
  </si>
  <si>
    <t>Calculation of measure-specific value estimates is as follows:</t>
  </si>
  <si>
    <r>
      <t xml:space="preserve">Maximum </t>
    </r>
    <r>
      <rPr>
        <b/>
        <sz val="11"/>
        <rFont val="Calibri"/>
        <family val="2"/>
        <scheme val="minor"/>
      </rPr>
      <t>potential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Project</t>
    </r>
    <r>
      <rPr>
        <sz val="11"/>
        <rFont val="Calibri"/>
        <family val="2"/>
        <scheme val="minor"/>
      </rPr>
      <t xml:space="preserve"> Incentives for BHT, </t>
    </r>
    <r>
      <rPr>
        <b/>
        <sz val="11"/>
        <rFont val="Calibri"/>
        <family val="2"/>
        <scheme val="minor"/>
      </rPr>
      <t xml:space="preserve">2019 </t>
    </r>
  </si>
  <si>
    <r>
      <t xml:space="preserve">Maximum </t>
    </r>
    <r>
      <rPr>
        <b/>
        <sz val="11"/>
        <rFont val="Calibri"/>
        <family val="2"/>
        <scheme val="minor"/>
      </rPr>
      <t>potential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Project</t>
    </r>
    <r>
      <rPr>
        <sz val="11"/>
        <rFont val="Calibri"/>
        <family val="2"/>
        <scheme val="minor"/>
      </rPr>
      <t xml:space="preserve"> Incentives for BHT, </t>
    </r>
    <r>
      <rPr>
        <b/>
        <sz val="11"/>
        <rFont val="Calibri"/>
        <family val="2"/>
        <scheme val="minor"/>
      </rPr>
      <t>2020</t>
    </r>
  </si>
  <si>
    <r>
      <t xml:space="preserve">Maximum </t>
    </r>
    <r>
      <rPr>
        <b/>
        <sz val="11"/>
        <rFont val="Calibri"/>
        <family val="2"/>
        <scheme val="minor"/>
      </rPr>
      <t>potential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Project</t>
    </r>
    <r>
      <rPr>
        <sz val="11"/>
        <rFont val="Calibri"/>
        <family val="2"/>
        <scheme val="minor"/>
      </rPr>
      <t xml:space="preserve"> Incentives for BHT, </t>
    </r>
    <r>
      <rPr>
        <b/>
        <sz val="11"/>
        <rFont val="Calibri"/>
        <family val="2"/>
        <scheme val="minor"/>
      </rPr>
      <t>2021</t>
    </r>
    <r>
      <rPr>
        <i/>
        <sz val="11"/>
        <rFont val="Calibri"/>
        <family val="2"/>
        <scheme val="minor"/>
      </rPr>
      <t xml:space="preserve"> </t>
    </r>
  </si>
  <si>
    <t>% projected to be earned:</t>
  </si>
  <si>
    <t>Left on the table:</t>
  </si>
  <si>
    <t>Unearned by each of 4 big partners:</t>
  </si>
  <si>
    <t>Asthma Medication Ratio</t>
  </si>
  <si>
    <r>
      <t xml:space="preserve">[Measure's estimated AV (from monitoring dashboard)] </t>
    </r>
    <r>
      <rPr>
        <b/>
        <sz val="11"/>
        <color theme="1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[Measure's weight withIN project, for each relevant project] </t>
    </r>
    <r>
      <rPr>
        <b/>
        <sz val="11"/>
        <color theme="1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[Project weight (re-based), for each relevant project] </t>
    </r>
    <r>
      <rPr>
        <b/>
        <sz val="11"/>
        <color theme="1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[Max. potential P4P earnings for the year]</t>
    </r>
  </si>
  <si>
    <t>CY2019</t>
  </si>
  <si>
    <t>AV Translation Calculator for BHT</t>
  </si>
  <si>
    <t>BHT</t>
  </si>
  <si>
    <t>Big 4 partners, each</t>
  </si>
  <si>
    <t>Medium partners (20),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</si>
</sst>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/>
    <xf numFmtId="0" fontId="0" fillId="0" borderId="3" xfId="0" applyBorder="1"/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42" fontId="0" fillId="3" borderId="7" xfId="0" applyNumberForma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5" borderId="7" xfId="0" applyNumberFormat="1" applyFont="1" applyFill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44" fontId="4" fillId="5" borderId="9" xfId="0" applyNumberFormat="1" applyFont="1" applyFill="1" applyBorder="1" applyAlignment="1">
      <alignment horizontal="center"/>
    </xf>
    <xf numFmtId="44" fontId="0" fillId="0" borderId="0" xfId="0" applyNumberFormat="1" applyAlignment="1"/>
    <xf numFmtId="44" fontId="4" fillId="0" borderId="4" xfId="0" applyNumberFormat="1" applyFont="1" applyFill="1" applyBorder="1" applyAlignment="1">
      <alignment horizontal="center"/>
    </xf>
    <xf numFmtId="44" fontId="4" fillId="0" borderId="7" xfId="0" applyNumberFormat="1" applyFont="1" applyFill="1" applyBorder="1" applyAlignment="1">
      <alignment horizontal="center"/>
    </xf>
    <xf numFmtId="44" fontId="4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6" xfId="0" applyFill="1" applyBorder="1"/>
    <xf numFmtId="0" fontId="2" fillId="0" borderId="0" xfId="0" applyFont="1" applyAlignment="1"/>
    <xf numFmtId="44" fontId="7" fillId="0" borderId="10" xfId="0" applyNumberFormat="1" applyFont="1" applyBorder="1" applyAlignment="1">
      <alignment horizontal="center"/>
    </xf>
    <xf numFmtId="44" fontId="7" fillId="5" borderId="10" xfId="0" applyNumberFormat="1" applyFont="1" applyFill="1" applyBorder="1" applyAlignment="1">
      <alignment horizontal="center"/>
    </xf>
    <xf numFmtId="44" fontId="7" fillId="0" borderId="10" xfId="0" applyNumberFormat="1" applyFont="1" applyFill="1" applyBorder="1" applyAlignment="1">
      <alignment horizontal="center"/>
    </xf>
    <xf numFmtId="44" fontId="0" fillId="0" borderId="19" xfId="0" applyNumberFormat="1" applyFill="1" applyBorder="1" applyAlignment="1"/>
    <xf numFmtId="44" fontId="0" fillId="5" borderId="15" xfId="0" applyNumberFormat="1" applyFill="1" applyBorder="1" applyAlignment="1"/>
    <xf numFmtId="42" fontId="0" fillId="0" borderId="0" xfId="0" applyNumberFormat="1" applyAlignment="1"/>
    <xf numFmtId="44" fontId="0" fillId="0" borderId="0" xfId="0" applyNumberFormat="1" applyFill="1" applyBorder="1" applyAlignment="1"/>
    <xf numFmtId="0" fontId="4" fillId="0" borderId="0" xfId="0" applyFont="1"/>
    <xf numFmtId="9" fontId="0" fillId="5" borderId="15" xfId="0" applyNumberFormat="1" applyFill="1" applyBorder="1" applyAlignment="1">
      <alignment horizontal="center"/>
    </xf>
    <xf numFmtId="0" fontId="14" fillId="0" borderId="0" xfId="0" applyFont="1"/>
    <xf numFmtId="0" fontId="15" fillId="0" borderId="0" xfId="1"/>
    <xf numFmtId="0" fontId="14" fillId="0" borderId="0" xfId="0" applyFont="1" applyAlignment="1">
      <alignment horizontal="left" indent="1"/>
    </xf>
    <xf numFmtId="0" fontId="16" fillId="4" borderId="0" xfId="0" applyFont="1" applyFill="1"/>
    <xf numFmtId="44" fontId="0" fillId="0" borderId="0" xfId="0" applyNumberFormat="1"/>
    <xf numFmtId="0" fontId="17" fillId="3" borderId="0" xfId="0" applyFont="1" applyFill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44" fontId="18" fillId="5" borderId="4" xfId="0" applyNumberFormat="1" applyFont="1" applyFill="1" applyBorder="1" applyAlignment="1">
      <alignment horizontal="center"/>
    </xf>
    <xf numFmtId="44" fontId="18" fillId="5" borderId="7" xfId="0" applyNumberFormat="1" applyFont="1" applyFill="1" applyBorder="1" applyAlignment="1">
      <alignment horizontal="center"/>
    </xf>
    <xf numFmtId="44" fontId="19" fillId="5" borderId="17" xfId="0" applyNumberFormat="1" applyFont="1" applyFill="1" applyBorder="1" applyAlignment="1">
      <alignment horizontal="center"/>
    </xf>
    <xf numFmtId="9" fontId="1" fillId="0" borderId="0" xfId="0" applyNumberFormat="1" applyFont="1"/>
    <xf numFmtId="0" fontId="1" fillId="0" borderId="0" xfId="0" applyFont="1"/>
    <xf numFmtId="44" fontId="1" fillId="0" borderId="0" xfId="0" applyNumberFormat="1" applyFont="1"/>
    <xf numFmtId="2" fontId="0" fillId="0" borderId="0" xfId="0" applyNumberFormat="1" applyAlignment="1">
      <alignment horizontal="center"/>
    </xf>
    <xf numFmtId="42" fontId="0" fillId="5" borderId="15" xfId="0" applyNumberFormat="1" applyFill="1" applyBorder="1" applyAlignment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hca.wa.gov/assets/program/Medicaid-demonstration-terms-conditions.pdf" TargetMode="External"/><Relationship Id="rId1" Type="http://schemas.openxmlformats.org/officeDocument/2006/relationships/hyperlink" Target="https://www.hca.wa.gov/assets/program/mtp-measurement-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P52"/>
  <sheetViews>
    <sheetView tabSelected="1" topLeftCell="A19" workbookViewId="0">
      <selection activeCell="F49" sqref="F49"/>
    </sheetView>
  </sheetViews>
  <sheetFormatPr defaultRowHeight="14.4" x14ac:dyDescent="0.3"/>
  <cols>
    <col min="1" max="1" width="82.33203125" customWidth="1"/>
    <col min="2" max="2" width="33" style="1" customWidth="1"/>
    <col min="3" max="4" width="14.6640625" customWidth="1"/>
    <col min="5" max="5" width="9.33203125" customWidth="1"/>
    <col min="6" max="6" width="12.44140625" customWidth="1"/>
    <col min="7" max="7" width="11.5546875" customWidth="1"/>
    <col min="8" max="9" width="9.6640625" customWidth="1"/>
    <col min="10" max="14" width="14.6640625" customWidth="1"/>
    <col min="15" max="16" width="8.33203125" customWidth="1"/>
  </cols>
  <sheetData>
    <row r="1" spans="1:16" ht="18" x14ac:dyDescent="0.35">
      <c r="A1" s="30" t="s">
        <v>77</v>
      </c>
    </row>
    <row r="3" spans="1:16" ht="15.6" x14ac:dyDescent="0.3">
      <c r="A3" s="58" t="s">
        <v>41</v>
      </c>
      <c r="B3" s="31"/>
      <c r="C3" s="6"/>
      <c r="D3" s="6"/>
      <c r="E3" s="6"/>
      <c r="F3" s="6"/>
      <c r="G3" s="6"/>
      <c r="H3" s="6"/>
      <c r="I3" s="6"/>
      <c r="J3" s="43"/>
      <c r="K3" s="43"/>
      <c r="L3" s="43"/>
      <c r="M3" s="43"/>
      <c r="N3" s="43"/>
      <c r="O3" s="43"/>
      <c r="P3" s="43"/>
    </row>
    <row r="4" spans="1:16" x14ac:dyDescent="0.3">
      <c r="A4" s="6" t="s">
        <v>57</v>
      </c>
      <c r="B4" s="31"/>
      <c r="C4" s="6"/>
      <c r="D4" s="6"/>
      <c r="E4" s="6"/>
      <c r="F4" s="6"/>
      <c r="G4" s="6"/>
      <c r="H4" s="6"/>
      <c r="I4" s="6"/>
      <c r="J4" s="43"/>
      <c r="K4" s="43"/>
      <c r="L4" s="43"/>
      <c r="M4" s="43"/>
      <c r="N4" s="43"/>
      <c r="O4" s="43"/>
      <c r="P4" s="43"/>
    </row>
    <row r="5" spans="1:16" x14ac:dyDescent="0.3">
      <c r="A5" s="6" t="s">
        <v>42</v>
      </c>
      <c r="B5" s="31"/>
      <c r="C5" s="6"/>
      <c r="D5" s="6"/>
      <c r="E5" s="6"/>
      <c r="F5" s="6"/>
      <c r="G5" s="6"/>
      <c r="H5" s="6"/>
      <c r="I5" s="6"/>
      <c r="J5" s="43"/>
      <c r="K5" s="43"/>
      <c r="L5" s="43"/>
      <c r="M5" s="43"/>
      <c r="N5" s="43"/>
      <c r="O5" s="43"/>
      <c r="P5" s="43"/>
    </row>
    <row r="7" spans="1:16" x14ac:dyDescent="0.3">
      <c r="B7" s="32" t="s">
        <v>43</v>
      </c>
    </row>
    <row r="8" spans="1:16" x14ac:dyDescent="0.3">
      <c r="A8" s="53" t="s">
        <v>68</v>
      </c>
      <c r="B8" s="27">
        <v>12007352</v>
      </c>
      <c r="G8" s="59"/>
    </row>
    <row r="9" spans="1:16" x14ac:dyDescent="0.3">
      <c r="A9" t="s">
        <v>53</v>
      </c>
      <c r="B9" s="51">
        <f>B8*0.25</f>
        <v>3001838</v>
      </c>
      <c r="F9" s="59"/>
      <c r="G9" s="59"/>
    </row>
    <row r="10" spans="1:16" x14ac:dyDescent="0.3">
      <c r="A10" s="28" t="s">
        <v>39</v>
      </c>
    </row>
    <row r="12" spans="1:16" x14ac:dyDescent="0.3">
      <c r="A12" t="s">
        <v>36</v>
      </c>
      <c r="B12" s="71">
        <f>(B15*C15*B9)+(B16*C16*B9)+(B17*C17*B9)+(B18*C18*B9)</f>
        <v>1264915.9114478114</v>
      </c>
      <c r="C12" s="49"/>
    </row>
    <row r="14" spans="1:16" x14ac:dyDescent="0.3">
      <c r="C14" s="5" t="s">
        <v>26</v>
      </c>
    </row>
    <row r="15" spans="1:16" x14ac:dyDescent="0.3">
      <c r="A15" t="s">
        <v>27</v>
      </c>
      <c r="B15" s="54">
        <f>(SUM(B25:B28,B30,B34:B35,B39))/$F$43</f>
        <v>0.3888888888888889</v>
      </c>
      <c r="C15" s="23">
        <f>0.32/SUM(0.32+0.22+0.04+0.08)</f>
        <v>0.48484848484848486</v>
      </c>
      <c r="D15" s="23"/>
    </row>
    <row r="16" spans="1:16" x14ac:dyDescent="0.3">
      <c r="A16" t="s">
        <v>28</v>
      </c>
      <c r="B16" s="54">
        <f>(SUM(B25,B35,B38:B39))/$G$43</f>
        <v>0.35</v>
      </c>
      <c r="C16" s="23">
        <f>0.22/SUM(0.32+0.22+0.04+0.08)</f>
        <v>0.33333333333333331</v>
      </c>
      <c r="D16" s="23"/>
    </row>
    <row r="17" spans="1:16" x14ac:dyDescent="0.3">
      <c r="A17" t="s">
        <v>29</v>
      </c>
      <c r="B17" s="54">
        <f>(SUM(B25,B36:B37))/$H$43</f>
        <v>0.91666666666666663</v>
      </c>
      <c r="C17" s="23">
        <f>0.04/SUM(0.32+0.22+0.04+0.08)</f>
        <v>6.0606060606060608E-2</v>
      </c>
      <c r="D17" s="23"/>
    </row>
    <row r="18" spans="1:16" x14ac:dyDescent="0.3">
      <c r="A18" t="s">
        <v>30</v>
      </c>
      <c r="B18" s="54">
        <f>(SUM(B25,B27:B28,B30,B34))/$I$43</f>
        <v>0.5</v>
      </c>
      <c r="C18" s="23">
        <f>0.08/SUM(0.32+0.22+0.04+0.08)</f>
        <v>0.12121212121212122</v>
      </c>
      <c r="D18" s="23"/>
    </row>
    <row r="19" spans="1:16" x14ac:dyDescent="0.3">
      <c r="B19" s="26"/>
      <c r="C19" s="1"/>
    </row>
    <row r="20" spans="1:16" x14ac:dyDescent="0.3">
      <c r="B20" s="26"/>
      <c r="C20" s="1"/>
    </row>
    <row r="21" spans="1:16" x14ac:dyDescent="0.3">
      <c r="A21" s="24" t="s">
        <v>51</v>
      </c>
      <c r="B21" s="60" t="s">
        <v>76</v>
      </c>
      <c r="C21" s="1"/>
    </row>
    <row r="22" spans="1:16" x14ac:dyDescent="0.3">
      <c r="B22" s="2"/>
      <c r="C22" s="45"/>
      <c r="D22" s="45"/>
      <c r="E22" s="45"/>
      <c r="F22" s="72" t="s">
        <v>55</v>
      </c>
      <c r="G22" s="72"/>
      <c r="H22" s="72"/>
      <c r="I22" s="72"/>
      <c r="M22" s="72"/>
      <c r="N22" s="72"/>
      <c r="O22" s="72"/>
      <c r="P22" s="72"/>
    </row>
    <row r="23" spans="1:16" ht="46.5" customHeight="1" x14ac:dyDescent="0.3">
      <c r="A23" s="3" t="s">
        <v>24</v>
      </c>
      <c r="B23" s="25" t="s">
        <v>52</v>
      </c>
      <c r="C23" s="33" t="s">
        <v>45</v>
      </c>
      <c r="D23" s="33" t="s">
        <v>44</v>
      </c>
      <c r="F23" s="4" t="s">
        <v>14</v>
      </c>
      <c r="G23" s="4" t="s">
        <v>15</v>
      </c>
      <c r="H23" s="4" t="s">
        <v>16</v>
      </c>
      <c r="I23" s="4" t="s">
        <v>17</v>
      </c>
    </row>
    <row r="24" spans="1:16" x14ac:dyDescent="0.3">
      <c r="A24" s="7" t="s">
        <v>20</v>
      </c>
      <c r="B24" s="62"/>
      <c r="C24" s="34" t="s">
        <v>31</v>
      </c>
      <c r="D24" s="34" t="s">
        <v>31</v>
      </c>
      <c r="F24" s="8"/>
      <c r="G24" s="8"/>
      <c r="H24" s="8"/>
      <c r="I24" s="8"/>
    </row>
    <row r="25" spans="1:16" x14ac:dyDescent="0.3">
      <c r="A25" s="11" t="s">
        <v>19</v>
      </c>
      <c r="B25" s="12">
        <v>0.75</v>
      </c>
      <c r="C25" s="35">
        <f>(((1/F43)*C15)+((1/G43)*C16)+((1/H43)*C17)+((1/I43)*C18))*$B$9</f>
        <v>495252.73400673392</v>
      </c>
      <c r="D25" s="36">
        <f>(($B25*(1/$F$43)*$C$15)+($B25*(1/$G$43)*$C$16)+($B25*(1/$H$43)*$C$17)+($B25*(1/$I$43)*$C$18))*$B$9</f>
        <v>371439.55050505052</v>
      </c>
      <c r="F25" s="13" t="s">
        <v>18</v>
      </c>
      <c r="G25" s="13" t="s">
        <v>18</v>
      </c>
      <c r="H25" s="13" t="s">
        <v>18</v>
      </c>
      <c r="I25" s="13" t="s">
        <v>18</v>
      </c>
    </row>
    <row r="26" spans="1:16" x14ac:dyDescent="0.3">
      <c r="A26" s="44" t="s">
        <v>0</v>
      </c>
      <c r="B26" s="12">
        <v>0</v>
      </c>
      <c r="C26" s="35">
        <f>((1/F43)*C15)*$B$9</f>
        <v>161715.17845117845</v>
      </c>
      <c r="D26" s="36">
        <f>($B$26*(1/F43)*C15)*$B$9</f>
        <v>0</v>
      </c>
      <c r="F26" s="13" t="s">
        <v>18</v>
      </c>
      <c r="G26" s="13"/>
      <c r="H26" s="13"/>
      <c r="I26" s="13"/>
    </row>
    <row r="27" spans="1:16" x14ac:dyDescent="0.3">
      <c r="A27" s="11" t="s">
        <v>6</v>
      </c>
      <c r="B27" s="12">
        <v>1</v>
      </c>
      <c r="C27" s="35">
        <f>(((1/F43)*C15)+((1/I43)*C18))*$B$9</f>
        <v>234487.00875420874</v>
      </c>
      <c r="D27" s="36">
        <f>((($B$27*(1/F43)*C15)+($B$27*(1/I43)*C18))*$B$9)</f>
        <v>234487.00875420874</v>
      </c>
      <c r="F27" s="13" t="s">
        <v>18</v>
      </c>
      <c r="G27" s="13"/>
      <c r="H27" s="13"/>
      <c r="I27" s="13" t="s">
        <v>18</v>
      </c>
    </row>
    <row r="28" spans="1:16" x14ac:dyDescent="0.3">
      <c r="A28" s="11" t="s">
        <v>9</v>
      </c>
      <c r="B28" s="12">
        <v>0</v>
      </c>
      <c r="C28" s="35">
        <f>(((1/F43)*C15)+((1/I43)*C18))*$B$9</f>
        <v>234487.00875420874</v>
      </c>
      <c r="D28" s="36">
        <f>((($B28*(1/F43)*C15)+($B$28*(1/I43)*C18))*$B$9)</f>
        <v>0</v>
      </c>
      <c r="F28" s="13" t="s">
        <v>18</v>
      </c>
      <c r="G28" s="13"/>
      <c r="H28" s="13"/>
      <c r="I28" s="13" t="s">
        <v>18</v>
      </c>
    </row>
    <row r="29" spans="1:16" x14ac:dyDescent="0.3">
      <c r="A29" s="11" t="s">
        <v>7</v>
      </c>
      <c r="B29" s="62"/>
      <c r="C29" s="34" t="s">
        <v>31</v>
      </c>
      <c r="D29" s="34" t="s">
        <v>31</v>
      </c>
      <c r="F29" s="15"/>
      <c r="G29" s="15"/>
      <c r="H29" s="15"/>
      <c r="I29" s="15"/>
    </row>
    <row r="30" spans="1:16" x14ac:dyDescent="0.3">
      <c r="A30" s="11" t="s">
        <v>8</v>
      </c>
      <c r="B30" s="12">
        <v>0</v>
      </c>
      <c r="C30" s="35">
        <f>(((1/F43)*C15)+((1/I43)*C18))*$B$9</f>
        <v>234487.00875420874</v>
      </c>
      <c r="D30" s="36">
        <f>((($B30*(1/F43)*C15)+($B$30*(1/I43)*C18))*$B$9)</f>
        <v>0</v>
      </c>
      <c r="F30" s="13" t="s">
        <v>18</v>
      </c>
      <c r="G30" s="13"/>
      <c r="H30" s="13"/>
      <c r="I30" s="13" t="s">
        <v>18</v>
      </c>
    </row>
    <row r="31" spans="1:16" x14ac:dyDescent="0.3">
      <c r="A31" s="11" t="s">
        <v>3</v>
      </c>
      <c r="B31" s="62"/>
      <c r="C31" s="34" t="s">
        <v>31</v>
      </c>
      <c r="D31" s="34" t="s">
        <v>31</v>
      </c>
      <c r="F31" s="15"/>
      <c r="G31" s="15"/>
      <c r="H31" s="15"/>
      <c r="I31" s="15"/>
    </row>
    <row r="32" spans="1:16" x14ac:dyDescent="0.3">
      <c r="A32" s="11" t="s">
        <v>2</v>
      </c>
      <c r="B32" s="62"/>
      <c r="C32" s="34" t="s">
        <v>31</v>
      </c>
      <c r="D32" s="34" t="s">
        <v>31</v>
      </c>
      <c r="F32" s="15"/>
      <c r="G32" s="15"/>
      <c r="H32" s="15"/>
      <c r="I32" s="15"/>
    </row>
    <row r="33" spans="1:9" x14ac:dyDescent="0.3">
      <c r="A33" s="11" t="s">
        <v>4</v>
      </c>
      <c r="B33" s="62"/>
      <c r="C33" s="34" t="s">
        <v>31</v>
      </c>
      <c r="D33" s="34" t="s">
        <v>31</v>
      </c>
      <c r="F33" s="15"/>
      <c r="G33" s="15"/>
      <c r="H33" s="15"/>
      <c r="I33" s="15"/>
    </row>
    <row r="34" spans="1:9" x14ac:dyDescent="0.3">
      <c r="A34" s="11" t="s">
        <v>21</v>
      </c>
      <c r="B34" s="12">
        <v>0.75</v>
      </c>
      <c r="C34" s="35">
        <f>(((1/F43)*C15)+((1/I43)*C18))*$B$9</f>
        <v>234487.00875420874</v>
      </c>
      <c r="D34" s="36">
        <f>((($B34*(1/F43)*C15)+($B$34*(1/I43)*C18))*$B$9)</f>
        <v>175865.25656565657</v>
      </c>
      <c r="F34" s="13" t="s">
        <v>18</v>
      </c>
      <c r="G34" s="13"/>
      <c r="H34" s="13"/>
      <c r="I34" s="13" t="s">
        <v>18</v>
      </c>
    </row>
    <row r="35" spans="1:9" x14ac:dyDescent="0.3">
      <c r="A35" s="11" t="s">
        <v>22</v>
      </c>
      <c r="B35" s="12">
        <v>1</v>
      </c>
      <c r="C35" s="35">
        <f>(((1/F43)*C15)+((1/G43)*C16))*$B$9</f>
        <v>361837.71178451175</v>
      </c>
      <c r="D35" s="36">
        <f>(($B35*(1/F43)*C15)+($B35*(1/G43)*C16))*$B$9</f>
        <v>361837.71178451175</v>
      </c>
      <c r="F35" s="13" t="s">
        <v>18</v>
      </c>
      <c r="G35" s="13" t="s">
        <v>18</v>
      </c>
      <c r="H35" s="13"/>
      <c r="I35" s="13"/>
    </row>
    <row r="36" spans="1:9" x14ac:dyDescent="0.3">
      <c r="A36" s="11" t="s">
        <v>11</v>
      </c>
      <c r="B36" s="12">
        <v>1</v>
      </c>
      <c r="C36" s="35">
        <f>((1/H43)*C17)*$B$9</f>
        <v>60643.191919191915</v>
      </c>
      <c r="D36" s="35">
        <f>($B36*(1/H43)*C17)*$B$9</f>
        <v>60643.191919191915</v>
      </c>
      <c r="F36" s="13"/>
      <c r="G36" s="13"/>
      <c r="H36" s="13" t="s">
        <v>18</v>
      </c>
      <c r="I36" s="13"/>
    </row>
    <row r="37" spans="1:9" x14ac:dyDescent="0.3">
      <c r="A37" s="11" t="s">
        <v>23</v>
      </c>
      <c r="B37" s="12">
        <v>1</v>
      </c>
      <c r="C37" s="35">
        <f>((1/H43)*C17)*$B$9</f>
        <v>60643.191919191915</v>
      </c>
      <c r="D37" s="35">
        <f>($B37*(1/H43)*C17)*$B$9</f>
        <v>60643.191919191915</v>
      </c>
      <c r="F37" s="13"/>
      <c r="G37" s="13"/>
      <c r="H37" s="13" t="s">
        <v>18</v>
      </c>
      <c r="I37" s="13"/>
    </row>
    <row r="38" spans="1:9" x14ac:dyDescent="0.3">
      <c r="A38" s="11" t="s">
        <v>10</v>
      </c>
      <c r="B38" s="12">
        <v>0</v>
      </c>
      <c r="C38" s="35">
        <f>((1/G43)*C16)*$B$9</f>
        <v>200122.53333333333</v>
      </c>
      <c r="D38" s="35">
        <f>($B38*(1/G43)*C16)*$B$9</f>
        <v>0</v>
      </c>
      <c r="F38" s="13"/>
      <c r="G38" s="13" t="s">
        <v>18</v>
      </c>
      <c r="H38" s="13"/>
      <c r="I38" s="13"/>
    </row>
    <row r="39" spans="1:9" x14ac:dyDescent="0.3">
      <c r="A39" s="11" t="s">
        <v>1</v>
      </c>
      <c r="B39" s="12">
        <v>0</v>
      </c>
      <c r="C39" s="35">
        <f>(((1/F43)*C15)+((1/G43)*C16))*$B$9</f>
        <v>361837.71178451175</v>
      </c>
      <c r="D39" s="36">
        <f>(($B39*(1/F43)*C15)+($B39*(1/G43)*C16))*$B$9</f>
        <v>0</v>
      </c>
      <c r="F39" s="13" t="s">
        <v>18</v>
      </c>
      <c r="G39" s="13" t="s">
        <v>18</v>
      </c>
      <c r="H39" s="13"/>
      <c r="I39" s="13"/>
    </row>
    <row r="40" spans="1:9" x14ac:dyDescent="0.3">
      <c r="A40" s="11" t="s">
        <v>13</v>
      </c>
      <c r="B40" s="62"/>
      <c r="C40" s="34" t="s">
        <v>31</v>
      </c>
      <c r="D40" s="34" t="s">
        <v>31</v>
      </c>
      <c r="F40" s="15"/>
      <c r="G40" s="15"/>
      <c r="H40" s="15"/>
      <c r="I40" s="15"/>
    </row>
    <row r="41" spans="1:9" x14ac:dyDescent="0.3">
      <c r="A41" s="11" t="s">
        <v>5</v>
      </c>
      <c r="B41" s="12">
        <v>1</v>
      </c>
      <c r="C41" s="35">
        <f>(((1/F43)*C15)+((1/G43)*C16))*$B$9</f>
        <v>361837.71178451175</v>
      </c>
      <c r="D41" s="35">
        <f>(($B41*(1/F43)*C15)+($B35*(1/G43)*C16))*$B$9</f>
        <v>361837.71178451175</v>
      </c>
      <c r="F41" s="13" t="s">
        <v>18</v>
      </c>
      <c r="G41" s="13" t="s">
        <v>18</v>
      </c>
      <c r="H41" s="13"/>
      <c r="I41" s="13"/>
    </row>
    <row r="42" spans="1:9" x14ac:dyDescent="0.3">
      <c r="A42" s="18" t="s">
        <v>12</v>
      </c>
      <c r="B42" s="62"/>
      <c r="C42" s="34" t="s">
        <v>31</v>
      </c>
      <c r="D42" s="34" t="s">
        <v>31</v>
      </c>
      <c r="F42" s="19"/>
      <c r="G42" s="19"/>
      <c r="H42" s="19"/>
      <c r="I42" s="19"/>
    </row>
    <row r="43" spans="1:9" x14ac:dyDescent="0.3">
      <c r="A43" s="28"/>
      <c r="B43" s="17"/>
      <c r="C43" s="37">
        <f>SUM(C24:C42)</f>
        <v>3001838</v>
      </c>
      <c r="D43" s="38">
        <f t="shared" ref="D43" si="0">SUM(D24:D42)</f>
        <v>1626753.6232323234</v>
      </c>
      <c r="F43" s="16">
        <f>COUNTIF(F24:F42,"X")</f>
        <v>9</v>
      </c>
      <c r="G43" s="16">
        <f t="shared" ref="G43" si="1">COUNTIF(G24:G42,"X")</f>
        <v>5</v>
      </c>
      <c r="H43" s="16">
        <f t="shared" ref="H43" si="2">COUNTIF(H24:H42,"X")</f>
        <v>3</v>
      </c>
      <c r="I43" s="21">
        <f t="shared" ref="I43" si="3">COUNTIF(I24:I42,"X")</f>
        <v>5</v>
      </c>
    </row>
    <row r="44" spans="1:9" x14ac:dyDescent="0.3">
      <c r="C44" s="1"/>
      <c r="D44" s="1"/>
      <c r="E44" s="1"/>
      <c r="F44" s="1"/>
      <c r="G44" s="1"/>
      <c r="H44" s="1"/>
    </row>
    <row r="45" spans="1:9" x14ac:dyDescent="0.3">
      <c r="B45" s="2" t="s">
        <v>71</v>
      </c>
      <c r="C45" s="67">
        <f>D43/C43</f>
        <v>0.54191919191919202</v>
      </c>
    </row>
    <row r="46" spans="1:9" x14ac:dyDescent="0.3">
      <c r="B46" s="2"/>
      <c r="C46" s="68"/>
    </row>
    <row r="47" spans="1:9" x14ac:dyDescent="0.3">
      <c r="A47" s="53"/>
      <c r="B47" s="2" t="s">
        <v>72</v>
      </c>
      <c r="C47" s="69">
        <f>C43-D43</f>
        <v>1375084.3767676766</v>
      </c>
    </row>
    <row r="48" spans="1:9" x14ac:dyDescent="0.3">
      <c r="B48" s="2" t="s">
        <v>73</v>
      </c>
      <c r="C48" s="69">
        <f>(0.75*(0.85*C47))/4</f>
        <v>219154.07254734845</v>
      </c>
      <c r="F48" s="59"/>
    </row>
    <row r="50" spans="2:4" x14ac:dyDescent="0.3">
      <c r="B50" s="70" t="s">
        <v>78</v>
      </c>
      <c r="C50" s="59">
        <f>0.15*D43</f>
        <v>244013.04348484852</v>
      </c>
      <c r="D50" s="59"/>
    </row>
    <row r="51" spans="2:4" x14ac:dyDescent="0.3">
      <c r="B51" s="1" t="s">
        <v>79</v>
      </c>
      <c r="C51" s="59">
        <f>((D43-C50)*0.75)/4</f>
        <v>259263.85870265157</v>
      </c>
      <c r="D51" s="59"/>
    </row>
    <row r="52" spans="2:4" x14ac:dyDescent="0.3">
      <c r="B52" s="1" t="s">
        <v>80</v>
      </c>
      <c r="C52" s="59">
        <f>(D43-C50-(4*C51))/20</f>
        <v>17284.257246843434</v>
      </c>
    </row>
  </sheetData>
  <sortState xmlns:xlrd2="http://schemas.microsoft.com/office/spreadsheetml/2017/richdata2" ref="A4:A33">
    <sortCondition ref="A4:A33"/>
  </sortState>
  <mergeCells count="2">
    <mergeCell ref="F22:I22"/>
    <mergeCell ref="M22:P2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55"/>
  <sheetViews>
    <sheetView topLeftCell="A19" workbookViewId="0">
      <selection activeCell="F21" sqref="F21"/>
    </sheetView>
  </sheetViews>
  <sheetFormatPr defaultRowHeight="14.4" x14ac:dyDescent="0.3"/>
  <cols>
    <col min="1" max="1" width="84.44140625" customWidth="1"/>
    <col min="2" max="2" width="31.44140625" style="1" customWidth="1"/>
    <col min="3" max="6" width="14.6640625" customWidth="1"/>
    <col min="7" max="7" width="9.88671875" customWidth="1"/>
    <col min="8" max="11" width="9.6640625" customWidth="1"/>
  </cols>
  <sheetData>
    <row r="1" spans="1:11" ht="18" x14ac:dyDescent="0.35">
      <c r="A1" s="30" t="s">
        <v>40</v>
      </c>
    </row>
    <row r="3" spans="1:11" ht="15.6" x14ac:dyDescent="0.3">
      <c r="A3" s="58" t="s">
        <v>41</v>
      </c>
      <c r="B3" s="31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6" t="s">
        <v>50</v>
      </c>
      <c r="B4" s="31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 t="s">
        <v>42</v>
      </c>
      <c r="B5" s="31"/>
      <c r="C5" s="6"/>
      <c r="D5" s="6"/>
      <c r="E5" s="6"/>
      <c r="F5" s="6"/>
      <c r="G5" s="6"/>
      <c r="H5" s="6"/>
      <c r="I5" s="6"/>
      <c r="J5" s="6"/>
      <c r="K5" s="6"/>
    </row>
    <row r="7" spans="1:11" x14ac:dyDescent="0.3">
      <c r="B7" s="32" t="s">
        <v>43</v>
      </c>
    </row>
    <row r="8" spans="1:11" x14ac:dyDescent="0.3">
      <c r="A8" s="53" t="s">
        <v>69</v>
      </c>
      <c r="B8" s="27">
        <v>10699900</v>
      </c>
    </row>
    <row r="9" spans="1:11" x14ac:dyDescent="0.3">
      <c r="A9" s="53" t="s">
        <v>70</v>
      </c>
      <c r="B9" s="27">
        <v>6058000</v>
      </c>
    </row>
    <row r="11" spans="1:11" x14ac:dyDescent="0.3">
      <c r="A11" t="s">
        <v>58</v>
      </c>
      <c r="B11" s="39">
        <f>B8*0.5</f>
        <v>5349950</v>
      </c>
      <c r="E11" s="59"/>
      <c r="F11" s="59"/>
    </row>
    <row r="12" spans="1:11" x14ac:dyDescent="0.3">
      <c r="A12" t="s">
        <v>59</v>
      </c>
      <c r="B12" s="39">
        <f>B9*0.75</f>
        <v>4543500</v>
      </c>
      <c r="E12" s="59"/>
      <c r="F12" s="59"/>
    </row>
    <row r="13" spans="1:11" x14ac:dyDescent="0.3">
      <c r="A13" s="28" t="s">
        <v>39</v>
      </c>
      <c r="B13"/>
    </row>
    <row r="15" spans="1:11" x14ac:dyDescent="0.3">
      <c r="A15" t="s">
        <v>37</v>
      </c>
      <c r="B15" s="50">
        <f>(B19*C19*B11)+(B20*C20*B11)+(B21*C21*B11)+(B22*C22*B11)</f>
        <v>0</v>
      </c>
      <c r="C15" s="52"/>
    </row>
    <row r="16" spans="1:11" x14ac:dyDescent="0.3">
      <c r="A16" t="s">
        <v>38</v>
      </c>
      <c r="B16" s="50">
        <f>(B19*C19*B12)+(B20*C20*B12)+(B21*C21*B12)+(B22*C22*B12)</f>
        <v>0</v>
      </c>
      <c r="C16" s="52"/>
    </row>
    <row r="18" spans="1:11" x14ac:dyDescent="0.3">
      <c r="C18" s="5" t="s">
        <v>26</v>
      </c>
    </row>
    <row r="19" spans="1:11" x14ac:dyDescent="0.3">
      <c r="A19" t="s">
        <v>32</v>
      </c>
      <c r="B19" s="54">
        <f>(SUM(B29:B40,B44))/$H$48</f>
        <v>0</v>
      </c>
      <c r="C19" s="23">
        <f>0.32/SUM(0.32+0.22+0.04+0.08)</f>
        <v>0.48484848484848486</v>
      </c>
      <c r="D19" s="23"/>
    </row>
    <row r="20" spans="1:11" x14ac:dyDescent="0.3">
      <c r="A20" t="s">
        <v>33</v>
      </c>
      <c r="B20" s="54">
        <f>(SUM(B29:B30,B37:B39,B40,B43:B44))/$I$48</f>
        <v>0</v>
      </c>
      <c r="C20" s="23">
        <f>0.22/SUM(0.32+0.22+0.04+0.08)</f>
        <v>0.33333333333333331</v>
      </c>
      <c r="D20" s="23"/>
    </row>
    <row r="21" spans="1:11" x14ac:dyDescent="0.3">
      <c r="A21" t="s">
        <v>34</v>
      </c>
      <c r="B21" s="54">
        <f>(SUM(B30,B41:B42,B47))/$J$48</f>
        <v>0</v>
      </c>
      <c r="C21" s="23">
        <f>0.04/SUM(0.32+0.22+0.04+0.08)</f>
        <v>6.0606060606060608E-2</v>
      </c>
      <c r="D21" s="23"/>
    </row>
    <row r="22" spans="1:11" x14ac:dyDescent="0.3">
      <c r="A22" t="s">
        <v>35</v>
      </c>
      <c r="B22" s="54">
        <f>(SUM(B30:B31,B33:B36,B45))/$K$48</f>
        <v>0</v>
      </c>
      <c r="C22" s="23">
        <f>0.08/SUM(0.32+0.22+0.04+0.08)</f>
        <v>0.12121212121212122</v>
      </c>
      <c r="D22" s="23"/>
    </row>
    <row r="25" spans="1:11" x14ac:dyDescent="0.3">
      <c r="A25" s="24" t="s">
        <v>51</v>
      </c>
      <c r="B25" s="60"/>
    </row>
    <row r="26" spans="1:11" x14ac:dyDescent="0.3">
      <c r="A26" s="24" t="s">
        <v>54</v>
      </c>
      <c r="B26" s="61"/>
    </row>
    <row r="27" spans="1:11" x14ac:dyDescent="0.3">
      <c r="B27" s="2"/>
      <c r="C27" s="72"/>
      <c r="D27" s="72"/>
      <c r="E27" s="72"/>
      <c r="F27" s="72"/>
      <c r="G27" s="45"/>
      <c r="H27" s="72" t="s">
        <v>56</v>
      </c>
      <c r="I27" s="72"/>
      <c r="J27" s="72"/>
      <c r="K27" s="72"/>
    </row>
    <row r="28" spans="1:11" ht="28.8" x14ac:dyDescent="0.3">
      <c r="A28" s="3" t="s">
        <v>24</v>
      </c>
      <c r="B28" s="25" t="s">
        <v>25</v>
      </c>
      <c r="C28" s="33" t="s">
        <v>46</v>
      </c>
      <c r="D28" s="33" t="s">
        <v>47</v>
      </c>
      <c r="E28" s="33" t="s">
        <v>48</v>
      </c>
      <c r="F28" s="63" t="s">
        <v>49</v>
      </c>
      <c r="H28" s="4" t="s">
        <v>14</v>
      </c>
      <c r="I28" s="4" t="s">
        <v>15</v>
      </c>
      <c r="J28" s="4" t="s">
        <v>16</v>
      </c>
      <c r="K28" s="4" t="s">
        <v>17</v>
      </c>
    </row>
    <row r="29" spans="1:11" x14ac:dyDescent="0.3">
      <c r="A29" s="7" t="s">
        <v>20</v>
      </c>
      <c r="B29" s="12"/>
      <c r="C29" s="40">
        <f>(((1/$H$48)*$C19)+((1/$I$48)*$C20))*$B$11</f>
        <v>383425.94997594994</v>
      </c>
      <c r="D29" s="42">
        <f>$B29*(((1/$H$48)*$C19)+((1/$I$48)*$C20))*$B$11</f>
        <v>0</v>
      </c>
      <c r="E29" s="40">
        <f>(((1/H48)*C19)+((1/I48)*C20))*$B$12</f>
        <v>325628.42712842708</v>
      </c>
      <c r="F29" s="64">
        <f>$B29*(((1/$H$48)*$C19)+((1/$I$48)*$C20))*$B$12</f>
        <v>0</v>
      </c>
      <c r="H29" s="9" t="s">
        <v>18</v>
      </c>
      <c r="I29" s="9" t="s">
        <v>18</v>
      </c>
      <c r="J29" s="9"/>
      <c r="K29" s="10"/>
    </row>
    <row r="30" spans="1:11" x14ac:dyDescent="0.3">
      <c r="A30" s="11" t="s">
        <v>19</v>
      </c>
      <c r="B30" s="12"/>
      <c r="C30" s="35">
        <f>(((1/$H$48)*$C$19)+((1/$I$48)*$C$20)+((1/$J$48)*$C$21)+((1/$K$48)*$C$22))*$B$11</f>
        <v>557125.62530062522</v>
      </c>
      <c r="D30" s="36">
        <f>$B30*(((1/$H$48)*$C$19)+((1/$I$48)*$C$20)+((1/$J$48)*$C$21)+((1/$K$48)*$C$22))*$B$11</f>
        <v>0</v>
      </c>
      <c r="E30" s="41">
        <f>(((1/H48)*C19)+((1/I48)*C20)+((1/J48)*C21)+((1/K48)*C22))*$B$12</f>
        <v>473144.66089466086</v>
      </c>
      <c r="F30" s="65">
        <f>$B30*(((1/$H$48)*$C$19)+((1/$I$48)*$C$20)+((1/$J$48)*$C$21)+((1/$K$48)*$C$22))*$B$12</f>
        <v>0</v>
      </c>
      <c r="H30" s="13" t="s">
        <v>18</v>
      </c>
      <c r="I30" s="13" t="s">
        <v>18</v>
      </c>
      <c r="J30" s="13" t="s">
        <v>18</v>
      </c>
      <c r="K30" s="14" t="s">
        <v>18</v>
      </c>
    </row>
    <row r="31" spans="1:11" x14ac:dyDescent="0.3">
      <c r="A31" s="11" t="s">
        <v>74</v>
      </c>
      <c r="B31" s="12"/>
      <c r="C31" s="35">
        <f>(((1/$H$48)*$C$19)+((1/$K$48)*$C$22))*$B$11</f>
        <v>277919.48051948054</v>
      </c>
      <c r="D31" s="36">
        <f>$B31*(((1/$H$48)*$C$19)+((1/$K$48)*$C$22))*$B$11</f>
        <v>0</v>
      </c>
      <c r="E31" s="41">
        <f>(((1/$H$48)*$C$19)+((1/$K$48)*$C$22))*$B$12</f>
        <v>236025.97402597405</v>
      </c>
      <c r="F31" s="65">
        <f>$B31*(((1/$H$48)*$C$19)+((1/$K$48)*$C$22))*$B$12</f>
        <v>0</v>
      </c>
      <c r="H31" s="13" t="s">
        <v>18</v>
      </c>
      <c r="I31" s="13"/>
      <c r="J31" s="13"/>
      <c r="K31" s="14" t="s">
        <v>18</v>
      </c>
    </row>
    <row r="32" spans="1:11" x14ac:dyDescent="0.3">
      <c r="A32" s="44" t="s">
        <v>0</v>
      </c>
      <c r="B32" s="12"/>
      <c r="C32" s="35">
        <f>((1/$H$48)*$C$19)*$B$11</f>
        <v>185279.65367965368</v>
      </c>
      <c r="D32" s="36">
        <f>$B32*((1/$H$48)*$C$19)*$B$11</f>
        <v>0</v>
      </c>
      <c r="E32" s="41">
        <f>((1/H48)*C19)*$B$12</f>
        <v>157350.64935064936</v>
      </c>
      <c r="F32" s="65">
        <f>$B32*((1/$H$48)*$C$19)*$B$12</f>
        <v>0</v>
      </c>
      <c r="H32" s="13" t="s">
        <v>18</v>
      </c>
      <c r="I32" s="13"/>
      <c r="J32" s="13"/>
      <c r="K32" s="14"/>
    </row>
    <row r="33" spans="1:11" x14ac:dyDescent="0.3">
      <c r="A33" s="11" t="s">
        <v>6</v>
      </c>
      <c r="B33" s="12"/>
      <c r="C33" s="35">
        <f>(((1/$H$48)*$C$19)+((1/$K$48)*$C$22))*$B$11</f>
        <v>277919.48051948054</v>
      </c>
      <c r="D33" s="36">
        <f>$B33*(((1/$H$48)*$C$19)+((1/$K$48)*$C$22))*$B$11</f>
        <v>0</v>
      </c>
      <c r="E33" s="41">
        <f>(((1/$H$48)*$C$19)+((1/$K$48)*$C$22))*$B$12</f>
        <v>236025.97402597405</v>
      </c>
      <c r="F33" s="65">
        <f>$B33*(((1/$H$48)*$C$19)+((1/$K$48)*$C$22))*$B$12</f>
        <v>0</v>
      </c>
      <c r="H33" s="13" t="s">
        <v>18</v>
      </c>
      <c r="I33" s="13"/>
      <c r="J33" s="13"/>
      <c r="K33" s="14" t="s">
        <v>18</v>
      </c>
    </row>
    <row r="34" spans="1:11" x14ac:dyDescent="0.3">
      <c r="A34" s="11" t="s">
        <v>9</v>
      </c>
      <c r="B34" s="12"/>
      <c r="C34" s="35">
        <f>(((1/$H$48)*$C$19)+((1/$K$48)*$C$22))*$B$11</f>
        <v>277919.48051948054</v>
      </c>
      <c r="D34" s="36">
        <f>$B34*(((1/$H$48)*$C$19)+((1/$K$48)*$C$22))*$B$11</f>
        <v>0</v>
      </c>
      <c r="E34" s="41">
        <f>(((1/$H$48)*$C$19)+((1/$K$48)*$C$22))*$B$12</f>
        <v>236025.97402597405</v>
      </c>
      <c r="F34" s="65">
        <f>$B34*(((1/$H$48)*$C$19)+((1/$K$48)*$C$22))*$B$12</f>
        <v>0</v>
      </c>
      <c r="H34" s="13" t="s">
        <v>18</v>
      </c>
      <c r="I34" s="13"/>
      <c r="J34" s="13"/>
      <c r="K34" s="14" t="s">
        <v>18</v>
      </c>
    </row>
    <row r="35" spans="1:11" x14ac:dyDescent="0.3">
      <c r="A35" s="11" t="s">
        <v>7</v>
      </c>
      <c r="B35" s="12"/>
      <c r="C35" s="40">
        <f>(((1/$H$48)*$C$19)+((1/$K$48)*$C$22))*$B$11</f>
        <v>277919.48051948054</v>
      </c>
      <c r="D35" s="42">
        <f>$B35*(((1/$H$48)*$C$19)+((1/$K$48)*$C$22))*$B$11</f>
        <v>0</v>
      </c>
      <c r="E35" s="40">
        <f>(((1/$H$48)*$C$19)+((1/$K$48)*$C$22))*$B$12</f>
        <v>236025.97402597405</v>
      </c>
      <c r="F35" s="64">
        <f>$B35*(((1/$H$48)*$C$19)+((1/$K$48)*$C$22))*$B$12</f>
        <v>0</v>
      </c>
      <c r="H35" s="13" t="s">
        <v>18</v>
      </c>
      <c r="I35" s="13"/>
      <c r="J35" s="13"/>
      <c r="K35" s="14" t="s">
        <v>18</v>
      </c>
    </row>
    <row r="36" spans="1:11" x14ac:dyDescent="0.3">
      <c r="A36" s="11" t="s">
        <v>8</v>
      </c>
      <c r="B36" s="12"/>
      <c r="C36" s="35">
        <f>(((1/$H$48)*$C$19)+((1/$K$48)*$C$22))*$B$11</f>
        <v>277919.48051948054</v>
      </c>
      <c r="D36" s="36">
        <f>$B36*(((1/$H$48)*$C$19)+((1/$K$48)*$C$22))*$B$11</f>
        <v>0</v>
      </c>
      <c r="E36" s="41">
        <f>(((1/$H$48)*$C$19)+((1/$K$48)*$C$22))*$B$12</f>
        <v>236025.97402597405</v>
      </c>
      <c r="F36" s="65">
        <f>$B36*(((1/$H$48)*$C$19)+((1/$K$48)*$C$22))*$B$12</f>
        <v>0</v>
      </c>
      <c r="H36" s="13" t="s">
        <v>18</v>
      </c>
      <c r="I36" s="13"/>
      <c r="J36" s="13"/>
      <c r="K36" s="14" t="s">
        <v>18</v>
      </c>
    </row>
    <row r="37" spans="1:11" x14ac:dyDescent="0.3">
      <c r="A37" s="11" t="s">
        <v>3</v>
      </c>
      <c r="B37" s="12"/>
      <c r="C37" s="40">
        <f>(((1/$H$48)*$C$19)+((1/$I$48)*$C$20))*$B$11</f>
        <v>383425.94997594994</v>
      </c>
      <c r="D37" s="42">
        <f>$B37*(((1/$H$48)*$C$19)+((1/$I$48)*$C$20))*$B$11</f>
        <v>0</v>
      </c>
      <c r="E37" s="40">
        <f>(((1/$H$48)*$C$19)+((1/$I$48)*$C$20))*$B$12</f>
        <v>325628.42712842708</v>
      </c>
      <c r="F37" s="64">
        <f>$B37*(((1/$H$48)*$C$19)+((1/$I$48)*$C$20))*$B$12</f>
        <v>0</v>
      </c>
      <c r="H37" s="13" t="s">
        <v>18</v>
      </c>
      <c r="I37" s="13" t="s">
        <v>18</v>
      </c>
      <c r="J37" s="13"/>
      <c r="K37" s="14"/>
    </row>
    <row r="38" spans="1:11" x14ac:dyDescent="0.3">
      <c r="A38" s="11" t="s">
        <v>2</v>
      </c>
      <c r="B38" s="12"/>
      <c r="C38" s="40">
        <f>(((1/$H$48)*$C$19)+((1/$I$48)*$C$20))*$B$11</f>
        <v>383425.94997594994</v>
      </c>
      <c r="D38" s="42">
        <f>$B38*(((1/$H$48)*$C$19)+((1/$I$48)*$C$20))*$B$11</f>
        <v>0</v>
      </c>
      <c r="E38" s="40">
        <f>(((1/$H$48)*$C$19)+((1/$I$48)*$C$20))*$B$12</f>
        <v>325628.42712842708</v>
      </c>
      <c r="F38" s="64">
        <f>$B38*(((1/$H$48)*$C$19)+((1/$I$48)*$C$20))*$B$12</f>
        <v>0</v>
      </c>
      <c r="H38" s="13" t="s">
        <v>18</v>
      </c>
      <c r="I38" s="13" t="s">
        <v>18</v>
      </c>
      <c r="J38" s="13"/>
      <c r="K38" s="14"/>
    </row>
    <row r="39" spans="1:11" x14ac:dyDescent="0.3">
      <c r="A39" s="11" t="s">
        <v>4</v>
      </c>
      <c r="B39" s="12"/>
      <c r="C39" s="40">
        <f>(((1/$H$48)*$C$19)+((1/$I$48)*$C$20))*$B$11</f>
        <v>383425.94997594994</v>
      </c>
      <c r="D39" s="42">
        <f>$B39*(((1/$H$48)*$C$19)+((1/$I$48)*$C$20))*$B$11</f>
        <v>0</v>
      </c>
      <c r="E39" s="40">
        <f>(((1/$H$48)*$C$19)+((1/$I$48)*$C$20))*$B$12</f>
        <v>325628.42712842708</v>
      </c>
      <c r="F39" s="64">
        <f>$B39*(((1/$H$48)*$C$19)+((1/$I$48)*$C$20))*$B$12</f>
        <v>0</v>
      </c>
      <c r="H39" s="13" t="s">
        <v>18</v>
      </c>
      <c r="I39" s="13" t="s">
        <v>18</v>
      </c>
      <c r="J39" s="13"/>
      <c r="K39" s="14"/>
    </row>
    <row r="40" spans="1:11" x14ac:dyDescent="0.3">
      <c r="A40" s="11" t="s">
        <v>22</v>
      </c>
      <c r="B40" s="12"/>
      <c r="C40" s="35">
        <f>(((1/$H$48)*$C$19)+((1/$I$48)*$C$20))*$B$11</f>
        <v>383425.94997594994</v>
      </c>
      <c r="D40" s="36">
        <f>$B40*(((1/$H$48)*$C$19)+((1/$I$48)*$C$20))*$B$11</f>
        <v>0</v>
      </c>
      <c r="E40" s="41">
        <f>(((1/$H$48)*$C$19)+((1/$I$48)*$C$20))*$B$12</f>
        <v>325628.42712842708</v>
      </c>
      <c r="F40" s="65">
        <f>$B40*(((1/$H$48)*$C$19)+((1/$I$48)*$C$20))*$B$12</f>
        <v>0</v>
      </c>
      <c r="H40" s="13" t="s">
        <v>18</v>
      </c>
      <c r="I40" s="13" t="s">
        <v>18</v>
      </c>
      <c r="J40" s="13"/>
      <c r="K40" s="14"/>
    </row>
    <row r="41" spans="1:11" x14ac:dyDescent="0.3">
      <c r="A41" s="11" t="s">
        <v>11</v>
      </c>
      <c r="B41" s="12"/>
      <c r="C41" s="35">
        <f>(((1/$J$48)*$C$21))*$B$11</f>
        <v>81059.84848484848</v>
      </c>
      <c r="D41" s="36">
        <f>$B41*(((1/$J$48)*$C$21))*$B$11</f>
        <v>0</v>
      </c>
      <c r="E41" s="41">
        <f>(((1/$J$48)*$C$21))*$B$12</f>
        <v>68840.909090909088</v>
      </c>
      <c r="F41" s="65">
        <f>$B41*(((1/$J$48)*$C$21))*$B$12</f>
        <v>0</v>
      </c>
      <c r="H41" s="13"/>
      <c r="I41" s="13"/>
      <c r="J41" s="13" t="s">
        <v>18</v>
      </c>
      <c r="K41" s="14"/>
    </row>
    <row r="42" spans="1:11" x14ac:dyDescent="0.3">
      <c r="A42" s="11" t="s">
        <v>23</v>
      </c>
      <c r="B42" s="12"/>
      <c r="C42" s="35">
        <f>(((1/$J$48)*$C$21))*$B$11</f>
        <v>81059.84848484848</v>
      </c>
      <c r="D42" s="36">
        <f>$B42*(((1/$J$48)*$C$21))*$B$11</f>
        <v>0</v>
      </c>
      <c r="E42" s="41">
        <f>(((1/$J$48)*$C$21))*$B$12</f>
        <v>68840.909090909088</v>
      </c>
      <c r="F42" s="65">
        <f>$B42*(((1/$J$48)*$C$21))*$B$12</f>
        <v>0</v>
      </c>
      <c r="H42" s="13"/>
      <c r="I42" s="13"/>
      <c r="J42" s="13" t="s">
        <v>18</v>
      </c>
      <c r="K42" s="14"/>
    </row>
    <row r="43" spans="1:11" x14ac:dyDescent="0.3">
      <c r="A43" s="11" t="s">
        <v>10</v>
      </c>
      <c r="B43" s="12"/>
      <c r="C43" s="35">
        <f>(((1/$I$48)*$C$20))*$B$11</f>
        <v>198146.29629629629</v>
      </c>
      <c r="D43" s="36">
        <f>$B43*(((1/$I$48)*$C$20))*$B$11</f>
        <v>0</v>
      </c>
      <c r="E43" s="41">
        <f>(((1/I48)*C20))*$B$12</f>
        <v>168277.77777777778</v>
      </c>
      <c r="F43" s="65">
        <f>$B43*(((1/$I$48)*$C$20))*$B$12</f>
        <v>0</v>
      </c>
      <c r="H43" s="13"/>
      <c r="I43" s="13" t="s">
        <v>18</v>
      </c>
      <c r="J43" s="13"/>
      <c r="K43" s="14"/>
    </row>
    <row r="44" spans="1:11" x14ac:dyDescent="0.3">
      <c r="A44" s="11" t="s">
        <v>1</v>
      </c>
      <c r="B44" s="12"/>
      <c r="C44" s="35">
        <f>(((1/$H$48)*$C$19)+((1/$I$48)*$C$20))*$B$11</f>
        <v>383425.94997594994</v>
      </c>
      <c r="D44" s="36">
        <f>$B44*(((1/$H$48)*$C$19)+((1/$I$48)*$C$20))*$B$11</f>
        <v>0</v>
      </c>
      <c r="E44" s="41">
        <f>(((1/$H$48)*$C$19)+((1/$I$48)*$C$20))*$B$12</f>
        <v>325628.42712842708</v>
      </c>
      <c r="F44" s="65">
        <f>$B44*(((1/$H$48)*$C$19)+((1/$I$48)*$C$20))*$B$12</f>
        <v>0</v>
      </c>
      <c r="H44" s="13" t="s">
        <v>18</v>
      </c>
      <c r="I44" s="13" t="s">
        <v>18</v>
      </c>
      <c r="J44" s="13"/>
      <c r="K44" s="14"/>
    </row>
    <row r="45" spans="1:11" x14ac:dyDescent="0.3">
      <c r="A45" s="11" t="s">
        <v>13</v>
      </c>
      <c r="B45" s="12"/>
      <c r="C45" s="40">
        <f>(((1/$K$48)*$C$22))*$B$11</f>
        <v>92639.826839826841</v>
      </c>
      <c r="D45" s="42">
        <f>$B45*(((1/$K$48)*$C$22))*$B$11</f>
        <v>0</v>
      </c>
      <c r="E45" s="40">
        <f>(((1/K48)*C22))*$B$12</f>
        <v>78675.324675324679</v>
      </c>
      <c r="F45" s="64">
        <f>$B45*(((1/$K$48)*$C$22))*$B$12</f>
        <v>0</v>
      </c>
      <c r="H45" s="13"/>
      <c r="I45" s="13"/>
      <c r="J45" s="13"/>
      <c r="K45" s="14" t="s">
        <v>18</v>
      </c>
    </row>
    <row r="46" spans="1:11" x14ac:dyDescent="0.3">
      <c r="A46" s="11" t="s">
        <v>5</v>
      </c>
      <c r="B46" s="12"/>
      <c r="C46" s="35">
        <f>(((1/$H$48)*$C$19)+((1/$I$48)*$C$20))*$B$11</f>
        <v>383425.94997594994</v>
      </c>
      <c r="D46" s="36">
        <f>$B46*(((1/$H$48)*$C$19)+((1/$I$48)*$C$20))*$B$11</f>
        <v>0</v>
      </c>
      <c r="E46" s="41">
        <f>(((1/$H$48)*$C$19)+((1/$I$48)*$C$20))*$B$12</f>
        <v>325628.42712842708</v>
      </c>
      <c r="F46" s="65">
        <f>$B46*(((1/$H$48)*$C$19)+((1/$I$48)*$C$20))*$B$12</f>
        <v>0</v>
      </c>
      <c r="H46" s="13" t="s">
        <v>18</v>
      </c>
      <c r="I46" s="13" t="s">
        <v>18</v>
      </c>
      <c r="J46" s="13"/>
      <c r="K46" s="14"/>
    </row>
    <row r="47" spans="1:11" x14ac:dyDescent="0.3">
      <c r="A47" s="18" t="s">
        <v>12</v>
      </c>
      <c r="B47" s="12"/>
      <c r="C47" s="35">
        <f>(((1/$J$48)*$C$21))*$B$11</f>
        <v>81059.84848484848</v>
      </c>
      <c r="D47" s="36">
        <f>$B47*(((1/$J$48)*$C$21))*$B$11</f>
        <v>0</v>
      </c>
      <c r="E47" s="41">
        <f>(((1/$J$48)*$C$21))*$B$12</f>
        <v>68840.909090909088</v>
      </c>
      <c r="F47" s="65">
        <f>$B47*(((1/$J$48)*$C$21))*$B$12</f>
        <v>0</v>
      </c>
      <c r="H47" s="19"/>
      <c r="I47" s="19"/>
      <c r="J47" s="19" t="s">
        <v>18</v>
      </c>
      <c r="K47" s="20"/>
    </row>
    <row r="48" spans="1:11" x14ac:dyDescent="0.3">
      <c r="A48" s="28"/>
      <c r="B48" s="17"/>
      <c r="C48" s="46">
        <f>SUM(C29:C47)</f>
        <v>5349950</v>
      </c>
      <c r="D48" s="47">
        <f>SUM(D29:D47)</f>
        <v>0</v>
      </c>
      <c r="E48" s="48">
        <f>SUM(E29:E47)</f>
        <v>4543500.0000000009</v>
      </c>
      <c r="F48" s="66">
        <f>SUM(F29:F47)</f>
        <v>0</v>
      </c>
      <c r="H48" s="22">
        <f t="shared" ref="H48:K48" si="0">COUNTIF(H29:H47,"X")</f>
        <v>14</v>
      </c>
      <c r="I48" s="16">
        <f t="shared" si="0"/>
        <v>9</v>
      </c>
      <c r="J48" s="16">
        <f t="shared" si="0"/>
        <v>4</v>
      </c>
      <c r="K48" s="16">
        <f t="shared" si="0"/>
        <v>7</v>
      </c>
    </row>
    <row r="49" spans="2:8" x14ac:dyDescent="0.3">
      <c r="C49" s="1"/>
      <c r="D49" s="1"/>
      <c r="E49" s="1"/>
      <c r="F49" s="1"/>
      <c r="G49" s="1"/>
      <c r="H49" s="1"/>
    </row>
    <row r="50" spans="2:8" x14ac:dyDescent="0.3">
      <c r="B50" s="2" t="s">
        <v>71</v>
      </c>
      <c r="C50" s="67">
        <f>D48/C48</f>
        <v>0</v>
      </c>
    </row>
    <row r="51" spans="2:8" x14ac:dyDescent="0.3">
      <c r="B51" s="2"/>
      <c r="C51" s="68"/>
    </row>
    <row r="52" spans="2:8" x14ac:dyDescent="0.3">
      <c r="B52" s="2" t="s">
        <v>72</v>
      </c>
      <c r="C52" s="69">
        <f>C48-D48</f>
        <v>5349950</v>
      </c>
    </row>
    <row r="53" spans="2:8" x14ac:dyDescent="0.3">
      <c r="B53" s="2" t="s">
        <v>73</v>
      </c>
      <c r="C53" s="69">
        <f>(0.75*(0.85*C52))/4</f>
        <v>852648.28125</v>
      </c>
    </row>
    <row r="54" spans="2:8" x14ac:dyDescent="0.3">
      <c r="B54" s="2"/>
      <c r="C54" s="68"/>
    </row>
    <row r="55" spans="2:8" x14ac:dyDescent="0.3">
      <c r="B55" s="70" t="e">
        <f>SUM(B29:B47)/COUNTA(B29:B47)</f>
        <v>#DIV/0!</v>
      </c>
    </row>
  </sheetData>
  <mergeCells count="2">
    <mergeCell ref="C27:F27"/>
    <mergeCell ref="H27:K2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>
      <selection activeCell="H5" sqref="H5"/>
    </sheetView>
  </sheetViews>
  <sheetFormatPr defaultColWidth="9.109375" defaultRowHeight="14.4" x14ac:dyDescent="0.3"/>
  <cols>
    <col min="1" max="9" width="10.6640625" style="55" customWidth="1"/>
    <col min="10" max="16384" width="9.109375" style="55"/>
  </cols>
  <sheetData>
    <row r="1" spans="1:8" ht="15.6" x14ac:dyDescent="0.3">
      <c r="A1" s="29" t="s">
        <v>60</v>
      </c>
    </row>
    <row r="3" spans="1:8" x14ac:dyDescent="0.3">
      <c r="A3" s="55" t="s">
        <v>63</v>
      </c>
    </row>
    <row r="4" spans="1:8" x14ac:dyDescent="0.3">
      <c r="A4" s="57" t="s">
        <v>61</v>
      </c>
      <c r="H4" s="56" t="s">
        <v>62</v>
      </c>
    </row>
    <row r="5" spans="1:8" x14ac:dyDescent="0.3">
      <c r="A5" s="57" t="s">
        <v>64</v>
      </c>
      <c r="H5" s="56" t="s">
        <v>65</v>
      </c>
    </row>
    <row r="7" spans="1:8" x14ac:dyDescent="0.3">
      <c r="A7" s="55" t="s">
        <v>66</v>
      </c>
    </row>
    <row r="8" spans="1:8" x14ac:dyDescent="0.3">
      <c r="A8" s="55" t="s">
        <v>67</v>
      </c>
    </row>
    <row r="9" spans="1:8" x14ac:dyDescent="0.3">
      <c r="A9" s="57" t="s">
        <v>75</v>
      </c>
    </row>
  </sheetData>
  <hyperlinks>
    <hyperlink ref="H4" r:id="rId1" xr:uid="{00000000-0004-0000-0200-000000000000}"/>
    <hyperlink ref="H5" r:id="rId2" xr:uid="{00000000-0004-0000-02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Calculator</vt:lpstr>
      <vt:lpstr>2020 &amp; 2021 Calculator</vt:lpstr>
      <vt:lpstr>Documentation</vt:lpstr>
    </vt:vector>
  </TitlesOfParts>
  <Company>Providence Health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Angus, Lisa</dc:creator>
  <cp:lastModifiedBy>Angus, Lisa</cp:lastModifiedBy>
  <dcterms:created xsi:type="dcterms:W3CDTF">2019-12-23T19:23:39Z</dcterms:created>
  <dcterms:modified xsi:type="dcterms:W3CDTF">2020-12-03T02:59:03Z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a905b5-8388-4a05-b89a-55e43f7b4d00_Enabled">
    <vt:lpwstr>true</vt:lpwstr>
  </property>
  <property fmtid="{D5CDD505-2E9C-101B-9397-08002B2CF9AE}" pid="3" name="MSIP_Label_11a905b5-8388-4a05-b89a-55e43f7b4d00_SetDate">
    <vt:lpwstr>2020-05-17T19:55:47Z</vt:lpwstr>
  </property>
  <property fmtid="{D5CDD505-2E9C-101B-9397-08002B2CF9AE}" pid="4" name="MSIP_Label_11a905b5-8388-4a05-b89a-55e43f7b4d00_Method">
    <vt:lpwstr>Standard</vt:lpwstr>
  </property>
  <property fmtid="{D5CDD505-2E9C-101B-9397-08002B2CF9AE}" pid="5" name="MSIP_Label_11a905b5-8388-4a05-b89a-55e43f7b4d00_Name">
    <vt:lpwstr>General</vt:lpwstr>
  </property>
  <property fmtid="{D5CDD505-2E9C-101B-9397-08002B2CF9AE}" pid="6" name="MSIP_Label_11a905b5-8388-4a05-b89a-55e43f7b4d00_SiteId">
    <vt:lpwstr>2e319086-9a26-46a3-865f-615bed576786</vt:lpwstr>
  </property>
  <property fmtid="{D5CDD505-2E9C-101B-9397-08002B2CF9AE}" pid="7" name="MSIP_Label_11a905b5-8388-4a05-b89a-55e43f7b4d00_ActionId">
    <vt:lpwstr>1e1d35c6-c788-46c3-9dca-e20c98d452cb</vt:lpwstr>
  </property>
  <property fmtid="{D5CDD505-2E9C-101B-9397-08002B2CF9AE}" pid="8" name="MSIP_Label_11a905b5-8388-4a05-b89a-55e43f7b4d00_ContentBits">
    <vt:lpwstr>0</vt:lpwstr>
  </property>
</Properties>
</file>